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4240" windowHeight="11016"/>
  </bookViews>
  <sheets>
    <sheet name="N397CP W&amp;B" sheetId="1" r:id="rId1"/>
    <sheet name="W&amp;B Setup-56X" sheetId="2" state="hidden" r:id="rId2"/>
    <sheet name="Help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E15" i="1" s="1"/>
  <c r="E13" i="1"/>
  <c r="B16" i="1"/>
  <c r="C16" i="1" s="1"/>
  <c r="E16" i="1" s="1"/>
  <c r="C10" i="1"/>
  <c r="E10" i="1" s="1"/>
  <c r="E5" i="1"/>
  <c r="E6" i="1"/>
  <c r="E8" i="1"/>
  <c r="E7" i="1"/>
  <c r="E4" i="1"/>
  <c r="E9" i="1"/>
  <c r="C11" i="1"/>
  <c r="E11" i="1" s="1"/>
  <c r="I20" i="2"/>
  <c r="I9" i="2"/>
  <c r="I19" i="2" s="1"/>
  <c r="I8" i="2"/>
  <c r="I18" i="2" s="1"/>
  <c r="C19" i="2"/>
  <c r="I7" i="2" s="1"/>
  <c r="I17" i="2" s="1"/>
  <c r="I16" i="2"/>
  <c r="C16" i="2"/>
  <c r="H7" i="2" s="1"/>
  <c r="G20" i="2"/>
  <c r="G9" i="2"/>
  <c r="G19" i="2" s="1"/>
  <c r="G8" i="2"/>
  <c r="G18" i="2" s="1"/>
  <c r="G7" i="2"/>
  <c r="G17" i="2" s="1"/>
  <c r="G16" i="2"/>
  <c r="C18" i="2"/>
  <c r="H9" i="2" s="1"/>
  <c r="H19" i="2" s="1"/>
  <c r="C14" i="2"/>
  <c r="C13" i="2"/>
  <c r="B12" i="2"/>
  <c r="C12" i="2" s="1"/>
  <c r="C11" i="2"/>
  <c r="C10" i="2"/>
  <c r="C9" i="2"/>
  <c r="C8" i="2"/>
  <c r="C5" i="2"/>
  <c r="F8" i="2"/>
  <c r="F18" i="2" s="1"/>
  <c r="F7" i="2"/>
  <c r="F17" i="2" s="1"/>
  <c r="F10" i="2"/>
  <c r="F20" i="2"/>
  <c r="F9" i="2"/>
  <c r="F6" i="2"/>
  <c r="F16" i="2" s="1"/>
  <c r="G6" i="1"/>
  <c r="G5" i="1"/>
  <c r="C17" i="2" l="1"/>
  <c r="H8" i="2" s="1"/>
  <c r="F19" i="2"/>
  <c r="H6" i="2"/>
  <c r="H16" i="2" s="1"/>
  <c r="H17" i="2"/>
  <c r="H18" i="2" s="1"/>
  <c r="H10" i="2"/>
  <c r="H20" i="2" s="1"/>
  <c r="C12" i="1"/>
  <c r="E12" i="1"/>
  <c r="C17" i="1" l="1"/>
  <c r="E18" i="1" s="1"/>
  <c r="C19" i="1"/>
  <c r="B18" i="1"/>
  <c r="D12" i="1"/>
  <c r="E17" i="1"/>
  <c r="D17" i="1" l="1"/>
</calcChain>
</file>

<file path=xl/comments1.xml><?xml version="1.0" encoding="utf-8"?>
<comments xmlns="http://schemas.openxmlformats.org/spreadsheetml/2006/main">
  <authors>
    <author>Chris Kontz</author>
  </authors>
  <commentList>
    <comment ref="C7" authorId="0">
      <text>
        <r>
          <rPr>
            <b/>
            <sz val="8"/>
            <color indexed="81"/>
            <rFont val="Tahoma"/>
          </rPr>
          <t>Chocks &amp; Tie Downs:  33</t>
        </r>
        <r>
          <rPr>
            <sz val="8"/>
            <color indexed="81"/>
            <rFont val="Tahoma"/>
            <family val="2"/>
          </rPr>
          <t>lbs.
Normally stowed in Baggage  area A.</t>
        </r>
      </text>
    </comment>
    <comment ref="C8" authorId="0">
      <text>
        <r>
          <rPr>
            <b/>
            <sz val="8"/>
            <color indexed="81"/>
            <rFont val="Tahoma"/>
          </rPr>
          <t>Emergency Kit: 18 lbs.
N</t>
        </r>
        <r>
          <rPr>
            <sz val="8"/>
            <color indexed="81"/>
            <rFont val="Tahoma"/>
            <family val="2"/>
          </rPr>
          <t>ormally stowed in Baggage area B.</t>
        </r>
      </text>
    </comment>
    <comment ref="B10" authorId="0">
      <text>
        <r>
          <rPr>
            <b/>
            <sz val="8"/>
            <color indexed="81"/>
            <rFont val="Tahoma"/>
          </rPr>
          <t>Maximum Useable Fuel (to the top):  88 gal.
Useable Fuel to the tabs:  65 gal.</t>
        </r>
      </text>
    </comment>
  </commentList>
</comments>
</file>

<file path=xl/sharedStrings.xml><?xml version="1.0" encoding="utf-8"?>
<sst xmlns="http://schemas.openxmlformats.org/spreadsheetml/2006/main" count="92" uniqueCount="79">
  <si>
    <t>Normal</t>
  </si>
  <si>
    <t>Basic Empty Weight</t>
  </si>
  <si>
    <t>Maximum Ramp Weight</t>
  </si>
  <si>
    <t>Maximum Takeoff Weight</t>
  </si>
  <si>
    <t>Maximum Landing Weight</t>
  </si>
  <si>
    <t>Maximum Useable Fuel</t>
  </si>
  <si>
    <t>Moment</t>
  </si>
  <si>
    <t>Upper C.G. Limit</t>
  </si>
  <si>
    <t>Lower C.G. Limit (Minimum)</t>
  </si>
  <si>
    <t>Lower C.G. Limit (Maximum)</t>
  </si>
  <si>
    <t>C.G. Break Point</t>
  </si>
  <si>
    <t>Maximum Total Baggage Weight</t>
  </si>
  <si>
    <t>Center of Gravity Limits Envelope</t>
  </si>
  <si>
    <t>X (Arm)</t>
  </si>
  <si>
    <t>Y (Wt.)</t>
  </si>
  <si>
    <t>Normal Category</t>
  </si>
  <si>
    <t>A</t>
  </si>
  <si>
    <t>B</t>
  </si>
  <si>
    <t>D</t>
  </si>
  <si>
    <t>C</t>
  </si>
  <si>
    <t>E</t>
  </si>
  <si>
    <t>Center of Gravity Moment Envelope</t>
  </si>
  <si>
    <t>X (Mom/1K)</t>
  </si>
  <si>
    <t>Amount</t>
  </si>
  <si>
    <t>Weight</t>
  </si>
  <si>
    <t>Arm</t>
  </si>
  <si>
    <t>Empty Weight</t>
  </si>
  <si>
    <t>Front Seat</t>
  </si>
  <si>
    <t>Rear Seat</t>
  </si>
  <si>
    <t>Duration of Flight</t>
  </si>
  <si>
    <t>Avg. Fuel Rate</t>
  </si>
  <si>
    <t>Useable Fuel</t>
  </si>
  <si>
    <r>
      <t xml:space="preserve">The information on this worksheet should remain the same </t>
    </r>
    <r>
      <rPr>
        <b/>
        <i/>
        <sz val="12"/>
        <rFont val="Arial"/>
        <family val="2"/>
      </rPr>
      <t>unless</t>
    </r>
    <r>
      <rPr>
        <b/>
        <sz val="12"/>
        <rFont val="Arial"/>
        <family val="2"/>
      </rPr>
      <t xml:space="preserve"> the W&amp;B values for the aircraft change</t>
    </r>
  </si>
  <si>
    <t>Instructions for using the Weight &amp; Balance Workbook:</t>
  </si>
  <si>
    <t>1.</t>
  </si>
  <si>
    <t>Only change the YELLOW fields when performing Weight &amp; Balance calculations…</t>
  </si>
  <si>
    <t>Enter the amount of useable at the start of the flight.</t>
  </si>
  <si>
    <t>2.</t>
  </si>
  <si>
    <t>3.</t>
  </si>
  <si>
    <t>4.</t>
  </si>
  <si>
    <t>Enter the total weight of the front and rear seat passengers and baggage in the spaces provided.</t>
  </si>
  <si>
    <t>Enter the estimated duration of the flight in hours</t>
  </si>
  <si>
    <t>Enter the estimated fuel consumption rate in GPH (Gallons Per Hour).</t>
  </si>
  <si>
    <r>
      <t>The Weight &amp; Balance range (</t>
    </r>
    <r>
      <rPr>
        <i/>
        <sz val="10"/>
        <rFont val="Arial"/>
        <family val="2"/>
      </rPr>
      <t xml:space="preserve">start-of-flight </t>
    </r>
    <r>
      <rPr>
        <sz val="10"/>
        <rFont val="Arial"/>
        <family val="2"/>
      </rPr>
      <t>to</t>
    </r>
    <r>
      <rPr>
        <i/>
        <sz val="10"/>
        <rFont val="Arial"/>
        <family val="2"/>
      </rPr>
      <t xml:space="preserve"> end-of-flight</t>
    </r>
    <r>
      <rPr>
        <sz val="10"/>
        <rFont val="Arial"/>
        <family val="2"/>
      </rPr>
      <t>) are shown as a green line in the two envelopes</t>
    </r>
  </si>
  <si>
    <t>Maximum Baggage Weight (A)</t>
  </si>
  <si>
    <t>Maximum Baggage Weight (B)</t>
  </si>
  <si>
    <t>Maximum Baggage Weight (C)</t>
  </si>
  <si>
    <t>Takeoff</t>
  </si>
  <si>
    <t>Baggage C (shelf)</t>
  </si>
  <si>
    <r>
      <t xml:space="preserve">Baggage A (front </t>
    </r>
    <r>
      <rPr>
        <b/>
        <sz val="10"/>
        <rFont val="Arial"/>
      </rPr>
      <t>½)</t>
    </r>
  </si>
  <si>
    <t>Baggage B (back ½)</t>
  </si>
  <si>
    <t>Mission #</t>
  </si>
  <si>
    <t>Mission Pilot</t>
  </si>
  <si>
    <t>Date</t>
  </si>
  <si>
    <t>Reduced Fuel (Tabs)</t>
  </si>
  <si>
    <t>Taxi &amp; Runup</t>
  </si>
  <si>
    <t xml:space="preserve"> Fuel after flight</t>
  </si>
  <si>
    <t>Landing Wt &amp; CG</t>
  </si>
  <si>
    <t>T.O. Fuel, Wt, &amp; CG</t>
  </si>
  <si>
    <t>Takeoff Wt Va =</t>
  </si>
  <si>
    <t>Ldg Wt Va =</t>
  </si>
  <si>
    <t xml:space="preserve"> Endur plus Res =</t>
  </si>
  <si>
    <t xml:space="preserve"> Best Glide - 3100 lb = 76 kts</t>
  </si>
  <si>
    <t>Temperature:</t>
  </si>
  <si>
    <t>Take-off Distance:</t>
  </si>
  <si>
    <t xml:space="preserve">    "       "    - 2600 lb = 70  "</t>
  </si>
  <si>
    <t>Density Altitude:</t>
  </si>
  <si>
    <t>Landing Distance:</t>
  </si>
  <si>
    <t>Cabin Weight  =</t>
  </si>
  <si>
    <t>Vy = 81-75</t>
  </si>
  <si>
    <t>Vx = 59-66</t>
  </si>
  <si>
    <t>Remaining Useful</t>
  </si>
  <si>
    <t>30 C</t>
  </si>
  <si>
    <t>1285' over 50'</t>
  </si>
  <si>
    <t>1268' over 50'</t>
  </si>
  <si>
    <t>21-A- /A00</t>
  </si>
  <si>
    <t>Stu Smith 500215</t>
  </si>
  <si>
    <t>//2021</t>
  </si>
  <si>
    <t>N397CP Weight &amp;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</si>
</sst>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\ \g\a\l\."/>
    <numFmt numFmtId="165" formatCode="#,##0.0\&quot;"/>
    <numFmt numFmtId="166" formatCode="#,##0\ \l\b\s\."/>
    <numFmt numFmtId="167" formatCode="#,##0.0"/>
    <numFmt numFmtId="168" formatCode="#,##0.0\ \h\r\s\."/>
    <numFmt numFmtId="169" formatCode="#,##0.0\ \g\p\h"/>
    <numFmt numFmtId="170" formatCode="#,##0\ \g\a\l\."/>
    <numFmt numFmtId="171" formatCode="0.0"/>
  </numFmts>
  <fonts count="13" x14ac:knownFonts="1">
    <font>
      <sz val="10"/>
      <name val="Arial"/>
    </font>
    <font>
      <sz val="10"/>
      <name val="Arial"/>
    </font>
    <font>
      <b/>
      <sz val="8"/>
      <color indexed="81"/>
      <name val="Tahoma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0"/>
      <name val="Arial"/>
    </font>
    <font>
      <sz val="8"/>
      <color indexed="81"/>
      <name val="Tahoma"/>
      <family val="2"/>
    </font>
    <font>
      <b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167" fontId="0" fillId="0" borderId="0" xfId="0" applyNumberFormat="1"/>
    <xf numFmtId="167" fontId="0" fillId="0" borderId="1" xfId="0" applyNumberFormat="1" applyBorder="1"/>
    <xf numFmtId="164" fontId="0" fillId="0" borderId="1" xfId="0" applyNumberFormat="1" applyBorder="1"/>
    <xf numFmtId="0" fontId="3" fillId="0" borderId="2" xfId="0" applyFont="1" applyBorder="1"/>
    <xf numFmtId="0" fontId="3" fillId="0" borderId="1" xfId="0" applyFont="1" applyBorder="1"/>
    <xf numFmtId="167" fontId="3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49" fontId="0" fillId="0" borderId="0" xfId="0" applyNumberFormat="1" applyAlignment="1">
      <alignment horizontal="right"/>
    </xf>
    <xf numFmtId="49" fontId="5" fillId="0" borderId="0" xfId="0" applyNumberFormat="1" applyFont="1" applyAlignment="1"/>
    <xf numFmtId="49" fontId="0" fillId="0" borderId="0" xfId="0" applyNumberFormat="1" applyAlignment="1"/>
    <xf numFmtId="0" fontId="0" fillId="0" borderId="0" xfId="0" applyFill="1"/>
    <xf numFmtId="166" fontId="0" fillId="2" borderId="1" xfId="0" applyNumberFormat="1" applyFill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166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0" fontId="8" fillId="0" borderId="0" xfId="0" applyFont="1"/>
    <xf numFmtId="166" fontId="8" fillId="2" borderId="1" xfId="0" applyNumberFormat="1" applyFont="1" applyFill="1" applyBorder="1"/>
    <xf numFmtId="167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8" fontId="1" fillId="3" borderId="1" xfId="0" applyNumberFormat="1" applyFont="1" applyFill="1" applyBorder="1" applyProtection="1">
      <protection locked="0"/>
    </xf>
    <xf numFmtId="169" fontId="1" fillId="3" borderId="1" xfId="0" applyNumberFormat="1" applyFont="1" applyFill="1" applyBorder="1" applyProtection="1">
      <protection locked="0"/>
    </xf>
    <xf numFmtId="170" fontId="0" fillId="0" borderId="1" xfId="0" applyNumberFormat="1" applyBorder="1"/>
    <xf numFmtId="0" fontId="3" fillId="0" borderId="1" xfId="0" applyFont="1" applyBorder="1" applyAlignment="1">
      <alignment horizontal="center"/>
    </xf>
    <xf numFmtId="170" fontId="1" fillId="3" borderId="1" xfId="0" applyNumberFormat="1" applyFont="1" applyFill="1" applyBorder="1" applyProtection="1">
      <protection locked="0"/>
    </xf>
    <xf numFmtId="3" fontId="0" fillId="0" borderId="1" xfId="0" applyNumberFormat="1" applyBorder="1" applyAlignment="1">
      <alignment horizontal="center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67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7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" borderId="4" xfId="0" applyFont="1" applyFill="1" applyBorder="1" applyAlignment="1" applyProtection="1">
      <alignment horizontal="center"/>
      <protection locked="0"/>
    </xf>
    <xf numFmtId="1" fontId="12" fillId="0" borderId="5" xfId="0" applyNumberFormat="1" applyFont="1" applyBorder="1" applyAlignment="1" applyProtection="1">
      <alignment horizontal="right"/>
    </xf>
    <xf numFmtId="14" fontId="3" fillId="3" borderId="3" xfId="0" applyNumberFormat="1" applyFont="1" applyFill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horizontal="left" vertical="center"/>
    </xf>
    <xf numFmtId="166" fontId="3" fillId="0" borderId="2" xfId="0" applyNumberFormat="1" applyFont="1" applyBorder="1" applyAlignment="1">
      <alignment horizontal="left" vertical="center"/>
    </xf>
    <xf numFmtId="0" fontId="3" fillId="3" borderId="3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5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  <fill>
        <patternFill>
          <bgColor indexed="9"/>
        </patternFill>
      </fill>
    </dxf>
    <dxf>
      <font>
        <b/>
        <i/>
        <condense val="0"/>
        <extend val="0"/>
        <color indexed="10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Limits</a:t>
            </a:r>
          </a:p>
        </c:rich>
      </c:tx>
      <c:layout>
        <c:manualLayout>
          <c:xMode val="edge"/>
          <c:yMode val="edge"/>
          <c:x val="0.28604668302331776"/>
          <c:y val="2.7190298246617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139566837262486"/>
          <c:y val="0.12386706948640483"/>
          <c:w val="0.646512362046196"/>
          <c:h val="0.76586102719033233"/>
        </c:manualLayout>
      </c:layout>
      <c:scatterChart>
        <c:scatterStyle val="lineMarker"/>
        <c:varyColors val="0"/>
        <c:ser>
          <c:idx val="1"/>
          <c:order val="0"/>
          <c:tx>
            <c:v>Utility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'W&amp;B Setup-56X'!$H$6:$H$10</c:f>
              <c:numCache>
                <c:formatCode>#,##0.0\"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40.892857142857146</c:v>
                </c:pt>
                <c:pt idx="3">
                  <c:v>46</c:v>
                </c:pt>
                <c:pt idx="4">
                  <c:v>46</c:v>
                </c:pt>
              </c:numCache>
            </c:numRef>
          </c:xVal>
          <c:yVal>
            <c:numRef>
              <c:f>'W&amp;B Setup-56X'!$I$6:$I$10</c:f>
              <c:numCache>
                <c:formatCode>#,##0\ \l\b\s\.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3100</c:v>
                </c:pt>
                <c:pt idx="3">
                  <c:v>3100</c:v>
                </c:pt>
                <c:pt idx="4">
                  <c:v>1800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BA-417E-9918-B31AB1767FBC}"/>
            </c:ext>
          </c:extLst>
        </c:ser>
        <c:ser>
          <c:idx val="0"/>
          <c:order val="1"/>
          <c:tx>
            <c:v>Normal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'W&amp;B Setup-56X'!$F$6:$F$10</c:f>
              <c:numCache>
                <c:formatCode>#,##0.0\"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46</c:v>
                </c:pt>
                <c:pt idx="4">
                  <c:v>46</c:v>
                </c:pt>
              </c:numCache>
            </c:numRef>
          </c:xVal>
          <c:yVal>
            <c:numRef>
              <c:f>'W&amp;B Setup-56X'!$G$6:$G$10</c:f>
              <c:numCache>
                <c:formatCode>#,##0\ \l\b\s\.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BA-417E-9918-B31AB1767FBC}"/>
            </c:ext>
          </c:extLst>
        </c:ser>
        <c:ser>
          <c:idx val="2"/>
          <c:order val="2"/>
          <c:tx>
            <c:v>C.G. Range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('N397CP W&amp;B'!$D$12,'N397CP W&amp;B'!$D$17)</c:f>
              <c:numCache>
                <c:formatCode>#,##0.0</c:formatCode>
                <c:ptCount val="2"/>
                <c:pt idx="0">
                  <c:v>41.856651935385543</c:v>
                </c:pt>
                <c:pt idx="1">
                  <c:v>41.648724276559321</c:v>
                </c:pt>
              </c:numCache>
            </c:numRef>
          </c:xVal>
          <c:yVal>
            <c:numRef>
              <c:f>('N397CP W&amp;B'!$C$12,'N397CP W&amp;B'!$C$17)</c:f>
              <c:numCache>
                <c:formatCode>#,##0</c:formatCode>
                <c:ptCount val="2"/>
                <c:pt idx="0">
                  <c:v>2624.8</c:v>
                </c:pt>
                <c:pt idx="1">
                  <c:v>2512.3000000000002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BA-417E-9918-B31AB1767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00064"/>
        <c:axId val="45402368"/>
      </c:scatterChart>
      <c:valAx>
        <c:axId val="45400064"/>
        <c:scaling>
          <c:orientation val="minMax"/>
          <c:max val="48"/>
          <c:min val="32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C.G. Location</a:t>
                </a:r>
              </a:p>
            </c:rich>
          </c:tx>
          <c:layout>
            <c:manualLayout>
              <c:xMode val="edge"/>
              <c:yMode val="edge"/>
              <c:x val="0.41627962265586371"/>
              <c:y val="0.93504524858121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\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02368"/>
        <c:crosses val="autoZero"/>
        <c:crossBetween val="midCat"/>
        <c:majorUnit val="5"/>
        <c:minorUnit val="1"/>
      </c:valAx>
      <c:valAx>
        <c:axId val="45402368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</a:t>
                </a:r>
              </a:p>
            </c:rich>
          </c:tx>
          <c:layout>
            <c:manualLayout>
              <c:xMode val="edge"/>
              <c:yMode val="edge"/>
              <c:x val="3.7209241507854998E-2"/>
              <c:y val="0.376132962193285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l\b\s\.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00064"/>
        <c:crosses val="autoZero"/>
        <c:crossBetween val="midCat"/>
        <c:majorUnit val="100"/>
        <c:min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C.G. Moment Envelope</a:t>
            </a:r>
          </a:p>
        </c:rich>
      </c:tx>
      <c:layout>
        <c:manualLayout>
          <c:xMode val="edge"/>
          <c:yMode val="edge"/>
          <c:x val="0.37907014340598733"/>
          <c:y val="3.9886141854645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348865993897612"/>
          <c:y val="0.15384658188262854"/>
          <c:w val="0.68372170662439435"/>
          <c:h val="0.64672544606216076"/>
        </c:manualLayout>
      </c:layout>
      <c:scatterChart>
        <c:scatterStyle val="lineMarker"/>
        <c:varyColors val="0"/>
        <c:ser>
          <c:idx val="0"/>
          <c:order val="0"/>
          <c:tx>
            <c:v>Utility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xVal>
            <c:numRef>
              <c:f>'W&amp;B Setup-56X'!$H$16:$H$20</c:f>
              <c:numCache>
                <c:formatCode>#,##0.0</c:formatCode>
                <c:ptCount val="5"/>
                <c:pt idx="0">
                  <c:v>59.4</c:v>
                </c:pt>
                <c:pt idx="1">
                  <c:v>74.25</c:v>
                </c:pt>
                <c:pt idx="2">
                  <c:v>125.58392857142857</c:v>
                </c:pt>
                <c:pt idx="3">
                  <c:v>142.6</c:v>
                </c:pt>
                <c:pt idx="4">
                  <c:v>82.8</c:v>
                </c:pt>
              </c:numCache>
            </c:numRef>
          </c:xVal>
          <c:yVal>
            <c:numRef>
              <c:f>'W&amp;B Setup-56X'!$I$16:$I$20</c:f>
              <c:numCache>
                <c:formatCode>#,##0\ \l\b\s\.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3100</c:v>
                </c:pt>
                <c:pt idx="3">
                  <c:v>3100</c:v>
                </c:pt>
                <c:pt idx="4">
                  <c:v>1800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CB-44E9-9946-8E9E4291E0AA}"/>
            </c:ext>
          </c:extLst>
        </c:ser>
        <c:ser>
          <c:idx val="1"/>
          <c:order val="1"/>
          <c:tx>
            <c:v>Normal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'W&amp;B Setup-56X'!$F$16:$F$20</c:f>
              <c:numCache>
                <c:formatCode>#,##0.0</c:formatCode>
                <c:ptCount val="5"/>
                <c:pt idx="0">
                  <c:v>59.4</c:v>
                </c:pt>
                <c:pt idx="1">
                  <c:v>74.25</c:v>
                </c:pt>
                <c:pt idx="2">
                  <c:v>116.52500000000001</c:v>
                </c:pt>
                <c:pt idx="3">
                  <c:v>135.69999999999999</c:v>
                </c:pt>
                <c:pt idx="4">
                  <c:v>82.8</c:v>
                </c:pt>
              </c:numCache>
            </c:numRef>
          </c:xVal>
          <c:yVal>
            <c:numRef>
              <c:f>'W&amp;B Setup-56X'!$G$16:$G$20</c:f>
              <c:numCache>
                <c:formatCode>#,##0\ \l\b\s\.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CB-44E9-9946-8E9E4291E0AA}"/>
            </c:ext>
          </c:extLst>
        </c:ser>
        <c:ser>
          <c:idx val="2"/>
          <c:order val="2"/>
          <c:tx>
            <c:v>C.G. Limits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('N397CP W&amp;B'!$E$12,'N397CP W&amp;B'!$E$17)</c:f>
              <c:numCache>
                <c:formatCode>#,##0.0</c:formatCode>
                <c:ptCount val="2"/>
                <c:pt idx="0">
                  <c:v>109.86533999999999</c:v>
                </c:pt>
                <c:pt idx="1">
                  <c:v>104.63408999999999</c:v>
                </c:pt>
              </c:numCache>
            </c:numRef>
          </c:xVal>
          <c:yVal>
            <c:numRef>
              <c:f>('N397CP W&amp;B'!$C$12,'N397CP W&amp;B'!$C$17)</c:f>
              <c:numCache>
                <c:formatCode>#,##0</c:formatCode>
                <c:ptCount val="2"/>
                <c:pt idx="0">
                  <c:v>2624.8</c:v>
                </c:pt>
                <c:pt idx="1">
                  <c:v>2512.3000000000002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CB-44E9-9946-8E9E4291E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72864"/>
        <c:axId val="45575168"/>
      </c:scatterChart>
      <c:valAx>
        <c:axId val="45572864"/>
        <c:scaling>
          <c:orientation val="minMax"/>
          <c:max val="145"/>
          <c:min val="5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Moment</a:t>
                </a:r>
              </a:p>
            </c:rich>
          </c:tx>
          <c:layout>
            <c:manualLayout>
              <c:xMode val="edge"/>
              <c:yMode val="edge"/>
              <c:x val="0.40465166039027733"/>
              <c:y val="0.88889133613543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75168"/>
        <c:crossesAt val="1800"/>
        <c:crossBetween val="midCat"/>
        <c:majorUnit val="10"/>
        <c:minorUnit val="5"/>
      </c:valAx>
      <c:valAx>
        <c:axId val="45575168"/>
        <c:scaling>
          <c:orientation val="minMax"/>
          <c:max val="3200"/>
          <c:min val="18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</a:t>
                </a:r>
              </a:p>
            </c:rich>
          </c:tx>
          <c:layout>
            <c:manualLayout>
              <c:xMode val="edge"/>
              <c:yMode val="edge"/>
              <c:x val="3.9534833960972272E-2"/>
              <c:y val="0.25071276055528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l\b\s\.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72864"/>
        <c:crossesAt val="55"/>
        <c:crossBetween val="midCat"/>
        <c:majorUnit val="100"/>
        <c:min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3" l="0.75" r="0.75" t="0.9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1</xdr:row>
      <xdr:rowOff>26670</xdr:rowOff>
    </xdr:from>
    <xdr:to>
      <xdr:col>12</xdr:col>
      <xdr:colOff>0</xdr:colOff>
      <xdr:row>38</xdr:row>
      <xdr:rowOff>114300</xdr:rowOff>
    </xdr:to>
    <xdr:graphicFrame macro="">
      <xdr:nvGraphicFramePr>
        <xdr:cNvPr id="2126" name="Chart 1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64770</xdr:rowOff>
    </xdr:from>
    <xdr:to>
      <xdr:col>5</xdr:col>
      <xdr:colOff>0</xdr:colOff>
      <xdr:row>38</xdr:row>
      <xdr:rowOff>152400</xdr:rowOff>
    </xdr:to>
    <xdr:graphicFrame macro="">
      <xdr:nvGraphicFramePr>
        <xdr:cNvPr id="2127" name="Chart 2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42"/>
  <sheetViews>
    <sheetView showGridLines="0" tabSelected="1" workbookViewId="0"/>
  </sheetViews>
  <sheetFormatPr defaultColWidth="0" defaultRowHeight="13.2" zeroHeight="1" x14ac:dyDescent="0.25"/>
  <cols>
    <col min="1" max="1" width="21.6640625" style="4" customWidth="1"/>
    <col min="2" max="2" width="9.6640625" customWidth="1"/>
    <col min="3" max="3" width="9.5546875" customWidth="1"/>
    <col min="4" max="4" width="10.5546875" customWidth="1"/>
    <col min="5" max="5" width="9.88671875" customWidth="1"/>
    <col min="6" max="6" width="9.109375" customWidth="1"/>
    <col min="7" max="7" width="13.88671875" customWidth="1"/>
    <col min="8" max="8" width="5.5546875" customWidth="1"/>
    <col min="9" max="9" width="9.109375" customWidth="1"/>
    <col min="10" max="10" width="8.5546875" customWidth="1"/>
    <col min="11" max="11" width="5" customWidth="1"/>
    <col min="12" max="12" width="12" customWidth="1"/>
  </cols>
  <sheetData>
    <row r="1" spans="1:12" ht="17.399999999999999" x14ac:dyDescent="0.3">
      <c r="A1" s="12" t="s">
        <v>78</v>
      </c>
      <c r="D1" s="4" t="s">
        <v>51</v>
      </c>
      <c r="E1" s="58" t="s">
        <v>75</v>
      </c>
      <c r="F1" s="58"/>
      <c r="G1" s="4" t="s">
        <v>52</v>
      </c>
      <c r="H1" s="58" t="s">
        <v>76</v>
      </c>
      <c r="I1" s="58"/>
      <c r="J1" s="58"/>
      <c r="K1" s="4" t="s">
        <v>53</v>
      </c>
      <c r="L1" s="46" t="s">
        <v>77</v>
      </c>
    </row>
    <row r="2" spans="1:12" ht="8.1" customHeight="1" x14ac:dyDescent="0.3">
      <c r="A2" s="12"/>
      <c r="D2" s="12"/>
      <c r="L2" s="27"/>
    </row>
    <row r="3" spans="1:12" s="4" customFormat="1" x14ac:dyDescent="0.25">
      <c r="A3" s="9"/>
      <c r="B3" s="11" t="s">
        <v>23</v>
      </c>
      <c r="C3" s="11" t="s">
        <v>24</v>
      </c>
      <c r="D3" s="11" t="s">
        <v>25</v>
      </c>
      <c r="E3" s="11" t="s">
        <v>6</v>
      </c>
    </row>
    <row r="4" spans="1:12" ht="14.1" customHeight="1" x14ac:dyDescent="0.25">
      <c r="A4" s="10" t="s">
        <v>26</v>
      </c>
      <c r="B4" s="7"/>
      <c r="C4" s="39">
        <v>2024</v>
      </c>
      <c r="D4" s="39">
        <v>39.61</v>
      </c>
      <c r="E4" s="39">
        <f t="shared" ref="E4:E10" si="0">C4*D4/1000</f>
        <v>80.170640000000006</v>
      </c>
    </row>
    <row r="5" spans="1:12" ht="14.1" customHeight="1" x14ac:dyDescent="0.25">
      <c r="A5" s="10" t="s">
        <v>27</v>
      </c>
      <c r="B5" s="7"/>
      <c r="C5" s="34">
        <v>180</v>
      </c>
      <c r="D5" s="33">
        <v>37</v>
      </c>
      <c r="E5" s="39">
        <f t="shared" si="0"/>
        <v>6.66</v>
      </c>
      <c r="G5">
        <f>'W&amp;B Setup-56X'!B7</f>
        <v>2950</v>
      </c>
    </row>
    <row r="6" spans="1:12" ht="14.1" customHeight="1" x14ac:dyDescent="0.25">
      <c r="A6" s="10" t="s">
        <v>28</v>
      </c>
      <c r="B6" s="7"/>
      <c r="C6" s="34">
        <v>20</v>
      </c>
      <c r="D6" s="33">
        <v>74</v>
      </c>
      <c r="E6" s="39">
        <f t="shared" si="0"/>
        <v>1.48</v>
      </c>
      <c r="G6">
        <f>'W&amp;B Setup-56X'!B8</f>
        <v>2950</v>
      </c>
    </row>
    <row r="7" spans="1:12" ht="14.1" customHeight="1" x14ac:dyDescent="0.25">
      <c r="A7" s="10" t="s">
        <v>49</v>
      </c>
      <c r="B7" s="26"/>
      <c r="C7" s="34">
        <v>33</v>
      </c>
      <c r="D7" s="33">
        <v>97</v>
      </c>
      <c r="E7" s="39">
        <f t="shared" si="0"/>
        <v>3.2010000000000001</v>
      </c>
    </row>
    <row r="8" spans="1:12" ht="14.1" customHeight="1" x14ac:dyDescent="0.25">
      <c r="A8" s="10" t="s">
        <v>50</v>
      </c>
      <c r="B8" s="26"/>
      <c r="C8" s="34">
        <v>18</v>
      </c>
      <c r="D8" s="33">
        <v>116</v>
      </c>
      <c r="E8" s="39">
        <f t="shared" si="0"/>
        <v>2.0880000000000001</v>
      </c>
    </row>
    <row r="9" spans="1:12" ht="14.1" customHeight="1" x14ac:dyDescent="0.25">
      <c r="A9" s="10" t="s">
        <v>48</v>
      </c>
      <c r="C9" s="34">
        <v>0</v>
      </c>
      <c r="D9" s="33">
        <v>129</v>
      </c>
      <c r="E9" s="39">
        <f t="shared" si="0"/>
        <v>0</v>
      </c>
    </row>
    <row r="10" spans="1:12" ht="14.1" customHeight="1" x14ac:dyDescent="0.25">
      <c r="A10" s="10" t="s">
        <v>31</v>
      </c>
      <c r="B10" s="32">
        <v>60</v>
      </c>
      <c r="C10" s="33">
        <f>B10*6</f>
        <v>360</v>
      </c>
      <c r="D10" s="39">
        <v>46.5</v>
      </c>
      <c r="E10" s="39">
        <f t="shared" si="0"/>
        <v>16.739999999999998</v>
      </c>
    </row>
    <row r="11" spans="1:12" ht="14.1" customHeight="1" x14ac:dyDescent="0.25">
      <c r="A11" s="10" t="s">
        <v>55</v>
      </c>
      <c r="B11" s="8">
        <v>-1.7</v>
      </c>
      <c r="C11" s="35">
        <f>B11*6</f>
        <v>-10.199999999999999</v>
      </c>
      <c r="D11" s="35"/>
      <c r="E11" s="39">
        <f>C11*D10/1000</f>
        <v>-0.47429999999999994</v>
      </c>
    </row>
    <row r="12" spans="1:12" ht="14.1" customHeight="1" x14ac:dyDescent="0.25">
      <c r="A12" s="31" t="s">
        <v>58</v>
      </c>
      <c r="B12" s="30">
        <f>B10+B11</f>
        <v>58.3</v>
      </c>
      <c r="C12" s="36">
        <f>SUM(C4:C11)</f>
        <v>2624.8</v>
      </c>
      <c r="D12" s="11">
        <f>E12*1000/C12</f>
        <v>41.856651935385543</v>
      </c>
      <c r="E12" s="39">
        <f>SUM(E4:E11)</f>
        <v>109.86533999999999</v>
      </c>
    </row>
    <row r="13" spans="1:12" ht="13.5" customHeight="1" x14ac:dyDescent="0.25">
      <c r="C13" s="52" t="s">
        <v>68</v>
      </c>
      <c r="D13" s="53"/>
      <c r="E13" s="56">
        <f>SUM(C5:C9)</f>
        <v>251</v>
      </c>
    </row>
    <row r="14" spans="1:12" ht="14.1" customHeight="1" x14ac:dyDescent="0.25">
      <c r="A14" s="10" t="s">
        <v>29</v>
      </c>
      <c r="B14" s="28">
        <v>1.5</v>
      </c>
      <c r="C14" s="54"/>
      <c r="D14" s="55"/>
      <c r="E14" s="57"/>
    </row>
    <row r="15" spans="1:12" ht="12.75" customHeight="1" x14ac:dyDescent="0.25">
      <c r="A15" s="10" t="s">
        <v>30</v>
      </c>
      <c r="B15" s="29">
        <v>12.5</v>
      </c>
      <c r="D15" s="45" t="s">
        <v>61</v>
      </c>
      <c r="E15" s="42">
        <f>B12/B15-1</f>
        <v>3.6639999999999997</v>
      </c>
    </row>
    <row r="16" spans="1:12" ht="14.1" customHeight="1" x14ac:dyDescent="0.25">
      <c r="A16" s="10" t="s">
        <v>56</v>
      </c>
      <c r="B16" s="30">
        <f>B10+B11-(B14*B15)</f>
        <v>39.549999999999997</v>
      </c>
      <c r="C16" s="33">
        <f>B16*6</f>
        <v>237.29999999999998</v>
      </c>
      <c r="D16" s="39"/>
      <c r="E16" s="39">
        <f>C16*D10/1000</f>
        <v>11.03445</v>
      </c>
    </row>
    <row r="17" spans="1:5" x14ac:dyDescent="0.25">
      <c r="A17" s="31" t="s">
        <v>57</v>
      </c>
      <c r="B17" s="8"/>
      <c r="C17" s="36">
        <f>C12-(B14*B15)*6</f>
        <v>2512.3000000000002</v>
      </c>
      <c r="D17" s="11">
        <f>E17*1000/C17</f>
        <v>41.648724276559321</v>
      </c>
      <c r="E17" s="39">
        <f>E12-(E10+E11)+E16</f>
        <v>104.63408999999999</v>
      </c>
    </row>
    <row r="18" spans="1:5" x14ac:dyDescent="0.25">
      <c r="A18" s="37" t="s">
        <v>59</v>
      </c>
      <c r="B18" s="38">
        <f>111-((3100-C12)/47.8260869565217)</f>
        <v>101.06399999999999</v>
      </c>
      <c r="C18" s="50" t="s">
        <v>60</v>
      </c>
      <c r="D18" s="51"/>
      <c r="E18" s="38">
        <f>111-((3100-C17)/47.8260869565217)</f>
        <v>98.711727272727273</v>
      </c>
    </row>
    <row r="19" spans="1:5" x14ac:dyDescent="0.25">
      <c r="A19" s="50" t="s">
        <v>71</v>
      </c>
      <c r="B19" s="51"/>
      <c r="C19" s="36">
        <f>3100-C12</f>
        <v>475.19999999999982</v>
      </c>
      <c r="D19" s="40"/>
      <c r="E19" s="41"/>
    </row>
    <row r="20" spans="1:5" ht="13.5" customHeight="1" x14ac:dyDescent="0.25"/>
    <row r="21" spans="1:5" ht="13.5" customHeight="1" x14ac:dyDescent="0.25"/>
    <row r="22" spans="1:5" ht="13.5" customHeight="1" x14ac:dyDescent="0.25"/>
    <row r="23" spans="1:5" ht="13.5" customHeight="1" x14ac:dyDescent="0.25"/>
    <row r="24" spans="1:5" ht="13.5" customHeight="1" x14ac:dyDescent="0.25"/>
    <row r="25" spans="1:5" ht="13.5" customHeight="1" x14ac:dyDescent="0.25"/>
    <row r="26" spans="1:5" ht="13.5" customHeight="1" x14ac:dyDescent="0.25"/>
    <row r="27" spans="1:5" ht="13.5" customHeight="1" x14ac:dyDescent="0.25"/>
    <row r="28" spans="1:5" ht="13.5" customHeight="1" x14ac:dyDescent="0.25"/>
    <row r="29" spans="1:5" ht="13.5" customHeight="1" x14ac:dyDescent="0.25"/>
    <row r="30" spans="1:5" ht="13.5" customHeight="1" x14ac:dyDescent="0.25"/>
    <row r="31" spans="1:5" ht="13.5" customHeight="1" x14ac:dyDescent="0.25"/>
    <row r="32" spans="1:5" ht="13.5" customHeight="1" x14ac:dyDescent="0.25"/>
    <row r="33" spans="1:12" ht="13.5" customHeight="1" x14ac:dyDescent="0.25"/>
    <row r="34" spans="1:12" ht="13.5" customHeight="1" x14ac:dyDescent="0.25"/>
    <row r="35" spans="1:12" ht="13.5" customHeight="1" x14ac:dyDescent="0.25"/>
    <row r="36" spans="1:12" ht="13.5" customHeight="1" x14ac:dyDescent="0.25"/>
    <row r="37" spans="1:12" ht="13.5" customHeight="1" x14ac:dyDescent="0.25"/>
    <row r="38" spans="1:12" ht="13.5" customHeight="1" x14ac:dyDescent="0.25"/>
    <row r="39" spans="1:12" ht="13.5" customHeight="1" x14ac:dyDescent="0.25"/>
    <row r="40" spans="1:12" ht="13.5" customHeight="1" x14ac:dyDescent="0.25">
      <c r="A40" s="4" t="s">
        <v>62</v>
      </c>
      <c r="C40" s="4" t="s">
        <v>70</v>
      </c>
      <c r="F40" s="43" t="s">
        <v>63</v>
      </c>
      <c r="G40" s="47" t="s">
        <v>72</v>
      </c>
      <c r="J40" s="40" t="s">
        <v>64</v>
      </c>
      <c r="K40" s="59" t="s">
        <v>73</v>
      </c>
      <c r="L40" s="59"/>
    </row>
    <row r="41" spans="1:12" ht="13.5" customHeight="1" x14ac:dyDescent="0.25">
      <c r="A41" s="4" t="s">
        <v>65</v>
      </c>
      <c r="C41" s="4" t="s">
        <v>69</v>
      </c>
      <c r="F41" s="43" t="s">
        <v>66</v>
      </c>
      <c r="G41" s="44">
        <v>2040</v>
      </c>
      <c r="J41" s="40" t="s">
        <v>67</v>
      </c>
      <c r="K41" s="48" t="s">
        <v>74</v>
      </c>
      <c r="L41" s="49"/>
    </row>
    <row r="42" spans="1:12" ht="13.5" customHeight="1" x14ac:dyDescent="0.25"/>
  </sheetData>
  <sheetProtection formatCells="0" formatColumns="0" formatRows="0" insertColumns="0" insertRows="0" insertHyperlinks="0" deleteColumns="0" deleteRows="0" sort="0" autoFilter="0" pivotTables="0"/>
  <mergeCells count="8">
    <mergeCell ref="K41:L41"/>
    <mergeCell ref="A19:B19"/>
    <mergeCell ref="C13:D14"/>
    <mergeCell ref="E13:E14"/>
    <mergeCell ref="E1:F1"/>
    <mergeCell ref="H1:J1"/>
    <mergeCell ref="C18:D18"/>
    <mergeCell ref="K40:L40"/>
  </mergeCells>
  <phoneticPr fontId="0" type="noConversion"/>
  <conditionalFormatting sqref="B16">
    <cfRule type="expression" dxfId="4" priority="1" stopIfTrue="1">
      <formula>((B10-B14*B15)&lt;0)</formula>
    </cfRule>
  </conditionalFormatting>
  <conditionalFormatting sqref="B17">
    <cfRule type="expression" dxfId="3" priority="2" stopIfTrue="1">
      <formula>((B10-B14*B15)&lt;0)</formula>
    </cfRule>
  </conditionalFormatting>
  <conditionalFormatting sqref="D12 D17">
    <cfRule type="cellIs" dxfId="2" priority="3" stopIfTrue="1" operator="greaterThan">
      <formula>46</formula>
    </cfRule>
  </conditionalFormatting>
  <conditionalFormatting sqref="C17">
    <cfRule type="cellIs" dxfId="1" priority="4" stopIfTrue="1" operator="greaterThan">
      <formula>2950.5</formula>
    </cfRule>
  </conditionalFormatting>
  <conditionalFormatting sqref="C12">
    <cfRule type="cellIs" dxfId="0" priority="5" stopIfTrue="1" operator="greaterThan">
      <formula>3100.5</formula>
    </cfRule>
  </conditionalFormatting>
  <dataValidations count="2">
    <dataValidation type="decimal" showInputMessage="1" showErrorMessage="1" promptTitle="Invalid Useable Fuel" prompt="You must enter a Useable Fuel amount between 0 and 53 gallons." sqref="D12">
      <formula1>0</formula1>
      <formula2>53</formula2>
    </dataValidation>
    <dataValidation type="decimal" errorStyle="warning" showErrorMessage="1" errorTitle="Invalid Useable Fuel" error="Useable fuel must be between 0 and 53 gallons." sqref="B10">
      <formula1>0</formula1>
      <formula2>88</formula2>
    </dataValidation>
  </dataValidations>
  <pageMargins left="0.75" right="0.75" top="0.89" bottom="0.65" header="0.5" footer="0.5"/>
  <pageSetup scale="93" orientation="landscape" r:id="rId1"/>
  <headerFooter alignWithMargins="0"/>
  <cellWatches>
    <cellWatch r="D12"/>
  </cellWatches>
  <ignoredErrors>
    <ignoredError sqref="D1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0"/>
  <sheetViews>
    <sheetView workbookViewId="0">
      <selection activeCell="C22" sqref="C22"/>
    </sheetView>
  </sheetViews>
  <sheetFormatPr defaultRowHeight="13.2" x14ac:dyDescent="0.25"/>
  <cols>
    <col min="1" max="1" width="30.6640625" style="4" customWidth="1"/>
    <col min="2" max="3" width="12.6640625" customWidth="1"/>
    <col min="5" max="5" width="3.6640625" style="1" customWidth="1"/>
    <col min="6" max="9" width="10.6640625" customWidth="1"/>
  </cols>
  <sheetData>
    <row r="1" spans="1:9" ht="15.6" x14ac:dyDescent="0.3">
      <c r="A1" s="13" t="s">
        <v>32</v>
      </c>
    </row>
    <row r="3" spans="1:9" x14ac:dyDescent="0.25">
      <c r="B3" s="60"/>
      <c r="C3" s="60"/>
      <c r="E3" s="60" t="s">
        <v>12</v>
      </c>
      <c r="F3" s="60"/>
      <c r="G3" s="60"/>
      <c r="H3" s="60"/>
      <c r="I3" s="60"/>
    </row>
    <row r="4" spans="1:9" x14ac:dyDescent="0.25">
      <c r="B4" s="4" t="s">
        <v>0</v>
      </c>
      <c r="C4" s="4" t="s">
        <v>47</v>
      </c>
      <c r="E4" s="5"/>
      <c r="F4" s="60" t="s">
        <v>0</v>
      </c>
      <c r="G4" s="60"/>
      <c r="H4" s="60" t="s">
        <v>47</v>
      </c>
      <c r="I4" s="60"/>
    </row>
    <row r="5" spans="1:9" x14ac:dyDescent="0.25">
      <c r="A5" s="4" t="s">
        <v>1</v>
      </c>
      <c r="B5" s="18">
        <v>1872</v>
      </c>
      <c r="C5" s="21">
        <f>B5</f>
        <v>1872</v>
      </c>
      <c r="E5" s="5"/>
      <c r="F5" s="3" t="s">
        <v>13</v>
      </c>
      <c r="G5" s="3" t="s">
        <v>14</v>
      </c>
      <c r="H5" s="3" t="s">
        <v>13</v>
      </c>
      <c r="I5" s="3" t="s">
        <v>14</v>
      </c>
    </row>
    <row r="6" spans="1:9" x14ac:dyDescent="0.25">
      <c r="A6" s="4" t="s">
        <v>2</v>
      </c>
      <c r="B6" s="18">
        <v>2950</v>
      </c>
      <c r="C6" s="25">
        <v>3100</v>
      </c>
      <c r="E6" s="3" t="s">
        <v>16</v>
      </c>
      <c r="F6" s="2">
        <f>B16</f>
        <v>33</v>
      </c>
      <c r="G6" s="18">
        <v>1800</v>
      </c>
      <c r="H6" s="2">
        <f>C16</f>
        <v>33</v>
      </c>
      <c r="I6" s="18">
        <v>1800</v>
      </c>
    </row>
    <row r="7" spans="1:9" x14ac:dyDescent="0.25">
      <c r="A7" s="4" t="s">
        <v>3</v>
      </c>
      <c r="B7" s="18">
        <v>2950</v>
      </c>
      <c r="C7" s="25">
        <v>3100</v>
      </c>
      <c r="E7" s="3" t="s">
        <v>17</v>
      </c>
      <c r="F7" s="2">
        <f>B16</f>
        <v>33</v>
      </c>
      <c r="G7" s="18">
        <f>B19</f>
        <v>2250</v>
      </c>
      <c r="H7" s="2">
        <f>C16</f>
        <v>33</v>
      </c>
      <c r="I7" s="18">
        <f>C19</f>
        <v>2250</v>
      </c>
    </row>
    <row r="8" spans="1:9" x14ac:dyDescent="0.25">
      <c r="A8" s="4" t="s">
        <v>4</v>
      </c>
      <c r="B8" s="18">
        <v>2950</v>
      </c>
      <c r="C8" s="21">
        <f t="shared" ref="C8:C14" si="0">B8</f>
        <v>2950</v>
      </c>
      <c r="E8" s="3" t="s">
        <v>19</v>
      </c>
      <c r="F8" s="2">
        <f>B17</f>
        <v>39.5</v>
      </c>
      <c r="G8" s="18">
        <f>B7</f>
        <v>2950</v>
      </c>
      <c r="H8" s="2">
        <f>C17</f>
        <v>40.892857142857146</v>
      </c>
      <c r="I8" s="18">
        <f>C7</f>
        <v>3100</v>
      </c>
    </row>
    <row r="9" spans="1:9" x14ac:dyDescent="0.25">
      <c r="A9" s="4" t="s">
        <v>44</v>
      </c>
      <c r="B9" s="18">
        <v>120</v>
      </c>
      <c r="C9" s="21">
        <f t="shared" si="0"/>
        <v>120</v>
      </c>
      <c r="E9" s="3" t="s">
        <v>18</v>
      </c>
      <c r="F9" s="2">
        <f>B18</f>
        <v>46</v>
      </c>
      <c r="G9" s="18">
        <f>B7</f>
        <v>2950</v>
      </c>
      <c r="H9" s="2">
        <f>C18</f>
        <v>46</v>
      </c>
      <c r="I9" s="18">
        <f>C7</f>
        <v>3100</v>
      </c>
    </row>
    <row r="10" spans="1:9" x14ac:dyDescent="0.25">
      <c r="A10" s="4" t="s">
        <v>45</v>
      </c>
      <c r="B10" s="18">
        <v>80</v>
      </c>
      <c r="C10" s="21">
        <f t="shared" si="0"/>
        <v>80</v>
      </c>
      <c r="E10" s="3" t="s">
        <v>20</v>
      </c>
      <c r="F10" s="2">
        <f>B18</f>
        <v>46</v>
      </c>
      <c r="G10" s="18">
        <v>1800</v>
      </c>
      <c r="H10" s="2">
        <f>C18</f>
        <v>46</v>
      </c>
      <c r="I10" s="18">
        <v>1800</v>
      </c>
    </row>
    <row r="11" spans="1:9" x14ac:dyDescent="0.25">
      <c r="A11" s="4" t="s">
        <v>46</v>
      </c>
      <c r="B11" s="18"/>
      <c r="C11" s="21">
        <f t="shared" si="0"/>
        <v>0</v>
      </c>
    </row>
    <row r="12" spans="1:9" x14ac:dyDescent="0.25">
      <c r="A12" s="4" t="s">
        <v>11</v>
      </c>
      <c r="B12" s="18">
        <f>SUM(B9:B11)</f>
        <v>200</v>
      </c>
      <c r="C12" s="21">
        <f t="shared" si="0"/>
        <v>200</v>
      </c>
    </row>
    <row r="13" spans="1:9" x14ac:dyDescent="0.25">
      <c r="A13" s="4" t="s">
        <v>5</v>
      </c>
      <c r="B13" s="19">
        <v>88</v>
      </c>
      <c r="C13" s="22">
        <f t="shared" si="0"/>
        <v>88</v>
      </c>
      <c r="E13" s="60" t="s">
        <v>21</v>
      </c>
      <c r="F13" s="60"/>
      <c r="G13" s="60"/>
      <c r="H13" s="60"/>
      <c r="I13" s="60"/>
    </row>
    <row r="14" spans="1:9" x14ac:dyDescent="0.25">
      <c r="A14" s="4" t="s">
        <v>54</v>
      </c>
      <c r="B14" s="19">
        <v>65</v>
      </c>
      <c r="C14" s="22">
        <f t="shared" si="0"/>
        <v>65</v>
      </c>
      <c r="E14" s="5"/>
      <c r="F14" s="60" t="s">
        <v>15</v>
      </c>
      <c r="G14" s="60"/>
      <c r="H14" s="60" t="s">
        <v>47</v>
      </c>
      <c r="I14" s="60"/>
    </row>
    <row r="15" spans="1:9" x14ac:dyDescent="0.25">
      <c r="B15" s="17"/>
      <c r="C15" s="24"/>
      <c r="E15" s="5"/>
      <c r="F15" s="3" t="s">
        <v>22</v>
      </c>
      <c r="G15" s="3" t="s">
        <v>14</v>
      </c>
      <c r="H15" s="3" t="s">
        <v>22</v>
      </c>
      <c r="I15" s="3" t="s">
        <v>14</v>
      </c>
    </row>
    <row r="16" spans="1:9" x14ac:dyDescent="0.25">
      <c r="A16" s="4" t="s">
        <v>8</v>
      </c>
      <c r="B16" s="20">
        <v>33</v>
      </c>
      <c r="C16" s="23">
        <f>B16</f>
        <v>33</v>
      </c>
      <c r="E16" s="3" t="s">
        <v>16</v>
      </c>
      <c r="F16" s="6">
        <f>F6*G6/1000</f>
        <v>59.4</v>
      </c>
      <c r="G16" s="18">
        <f>G6</f>
        <v>1800</v>
      </c>
      <c r="H16" s="6">
        <f>H6*I6/1000</f>
        <v>59.4</v>
      </c>
      <c r="I16" s="18">
        <f>I6</f>
        <v>1800</v>
      </c>
    </row>
    <row r="17" spans="1:9" x14ac:dyDescent="0.25">
      <c r="A17" s="4" t="s">
        <v>9</v>
      </c>
      <c r="B17" s="20">
        <v>39.5</v>
      </c>
      <c r="C17" s="20">
        <f>((C7-C19)*(B17-B16))/(B7-B19)+C16</f>
        <v>40.892857142857146</v>
      </c>
      <c r="E17" s="3" t="s">
        <v>17</v>
      </c>
      <c r="F17" s="6">
        <f t="shared" ref="F17:H20" si="1">F7*G7/1000</f>
        <v>74.25</v>
      </c>
      <c r="G17" s="18">
        <f>G7</f>
        <v>2250</v>
      </c>
      <c r="H17" s="6">
        <f t="shared" si="1"/>
        <v>74.25</v>
      </c>
      <c r="I17" s="18">
        <f>I7</f>
        <v>2250</v>
      </c>
    </row>
    <row r="18" spans="1:9" x14ac:dyDescent="0.25">
      <c r="A18" s="4" t="s">
        <v>7</v>
      </c>
      <c r="B18" s="20">
        <v>46</v>
      </c>
      <c r="C18" s="23">
        <f>B18</f>
        <v>46</v>
      </c>
      <c r="E18" s="3" t="s">
        <v>19</v>
      </c>
      <c r="F18" s="6">
        <f t="shared" si="1"/>
        <v>116.52500000000001</v>
      </c>
      <c r="G18" s="18">
        <f>G8</f>
        <v>2950</v>
      </c>
      <c r="H18" s="6">
        <f>((I18-I17)*(F18-F17))/(G18-G17)+H17</f>
        <v>125.58392857142857</v>
      </c>
      <c r="I18" s="18">
        <f>I8</f>
        <v>3100</v>
      </c>
    </row>
    <row r="19" spans="1:9" x14ac:dyDescent="0.25">
      <c r="A19" s="4" t="s">
        <v>10</v>
      </c>
      <c r="B19" s="18">
        <v>2250</v>
      </c>
      <c r="C19" s="25">
        <f>B19</f>
        <v>2250</v>
      </c>
      <c r="E19" s="3" t="s">
        <v>18</v>
      </c>
      <c r="F19" s="6">
        <f t="shared" si="1"/>
        <v>135.69999999999999</v>
      </c>
      <c r="G19" s="18">
        <f>G9</f>
        <v>2950</v>
      </c>
      <c r="H19" s="6">
        <f t="shared" si="1"/>
        <v>142.6</v>
      </c>
      <c r="I19" s="18">
        <f>I9</f>
        <v>3100</v>
      </c>
    </row>
    <row r="20" spans="1:9" x14ac:dyDescent="0.25">
      <c r="E20" s="3" t="s">
        <v>20</v>
      </c>
      <c r="F20" s="6">
        <f t="shared" si="1"/>
        <v>82.8</v>
      </c>
      <c r="G20" s="18">
        <f>G10</f>
        <v>1800</v>
      </c>
      <c r="H20" s="6">
        <f t="shared" si="1"/>
        <v>82.8</v>
      </c>
      <c r="I20" s="18">
        <f>I10</f>
        <v>1800</v>
      </c>
    </row>
  </sheetData>
  <mergeCells count="7">
    <mergeCell ref="E13:I13"/>
    <mergeCell ref="F14:G14"/>
    <mergeCell ref="H14:I14"/>
    <mergeCell ref="B3:C3"/>
    <mergeCell ref="F4:G4"/>
    <mergeCell ref="H4:I4"/>
    <mergeCell ref="E3:I3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B12" formulaRange="1"/>
    <ignoredError sqref="C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0"/>
  <sheetViews>
    <sheetView showGridLines="0" zoomScale="153" workbookViewId="0">
      <selection activeCell="C10" sqref="C10"/>
    </sheetView>
  </sheetViews>
  <sheetFormatPr defaultRowHeight="13.2" x14ac:dyDescent="0.25"/>
  <cols>
    <col min="1" max="1" width="3.6640625" style="14" customWidth="1"/>
    <col min="2" max="2" width="85.6640625" customWidth="1"/>
  </cols>
  <sheetData>
    <row r="1" spans="1:2" ht="15.6" x14ac:dyDescent="0.3">
      <c r="A1" s="15" t="s">
        <v>33</v>
      </c>
    </row>
    <row r="3" spans="1:2" x14ac:dyDescent="0.25">
      <c r="A3" s="16" t="s">
        <v>35</v>
      </c>
    </row>
    <row r="4" spans="1:2" x14ac:dyDescent="0.25">
      <c r="A4" s="16"/>
    </row>
    <row r="5" spans="1:2" x14ac:dyDescent="0.25">
      <c r="A5" s="14" t="s">
        <v>34</v>
      </c>
      <c r="B5" t="s">
        <v>36</v>
      </c>
    </row>
    <row r="6" spans="1:2" x14ac:dyDescent="0.25">
      <c r="A6" s="14" t="s">
        <v>37</v>
      </c>
      <c r="B6" t="s">
        <v>40</v>
      </c>
    </row>
    <row r="7" spans="1:2" x14ac:dyDescent="0.25">
      <c r="A7" s="14" t="s">
        <v>38</v>
      </c>
      <c r="B7" t="s">
        <v>41</v>
      </c>
    </row>
    <row r="8" spans="1:2" x14ac:dyDescent="0.25">
      <c r="A8" s="14" t="s">
        <v>39</v>
      </c>
      <c r="B8" t="s">
        <v>42</v>
      </c>
    </row>
    <row r="10" spans="1:2" x14ac:dyDescent="0.25">
      <c r="A10" t="s">
        <v>43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N397CP W&amp;B</vt:lpstr>
      <vt:lpstr>W&amp;B Setup-56X</vt:lpstr>
      <vt:lpstr>Help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Kontz</dc:creator>
  <cp:lastModifiedBy>SJSmith</cp:lastModifiedBy>
  <cp:lastPrinted>2020-04-21T21:52:27Z</cp:lastPrinted>
  <dcterms:created xsi:type="dcterms:W3CDTF">2002-09-11T02:01:04Z</dcterms:created>
  <dcterms:modified xsi:type="dcterms:W3CDTF">2020-12-28T03:33:20Z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-819578835</vt:i4>
  </property>
  <property fmtid="{D5CDD505-2E9C-101B-9397-08002B2CF9AE}" pid="3" name="_EmailSubject">
    <vt:lpwstr>Website &amp; Listserv</vt:lpwstr>
  </property>
  <property fmtid="{D5CDD505-2E9C-101B-9397-08002B2CF9AE}" pid="4" name="_AuthorEmail">
    <vt:lpwstr>chrisk@c-and-c.com</vt:lpwstr>
  </property>
  <property fmtid="{D5CDD505-2E9C-101B-9397-08002B2CF9AE}" pid="5" name="_AuthorEmailDisplayName">
    <vt:lpwstr>Chris Kontz</vt:lpwstr>
  </property>
  <property fmtid="{D5CDD505-2E9C-101B-9397-08002B2CF9AE}" pid="6" name="_ReviewingToolsShownOnce">
    <vt:lpwstr/>
  </property>
</Properties>
</file>